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galinalitvin/Documents/"/>
    </mc:Choice>
  </mc:AlternateContent>
  <bookViews>
    <workbookView xWindow="400" yWindow="460" windowWidth="25360" windowHeight="14260" tabRatio="500" activeTab="1"/>
  </bookViews>
  <sheets>
    <sheet name="Year to date" sheetId="1" r:id="rId1"/>
    <sheet name="PL Month" sheetId="2" r:id="rId2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" i="2" l="1"/>
  <c r="E8" i="2"/>
  <c r="E9" i="2"/>
  <c r="E11" i="2"/>
  <c r="E12" i="2"/>
  <c r="E13" i="2"/>
  <c r="E14" i="2"/>
  <c r="E15" i="2"/>
  <c r="E16" i="2"/>
  <c r="E17" i="2"/>
  <c r="E18" i="2"/>
  <c r="E20" i="2"/>
  <c r="E21" i="2"/>
  <c r="E22" i="2"/>
  <c r="E23" i="2"/>
  <c r="B7" i="2"/>
  <c r="B8" i="2"/>
  <c r="B9" i="2"/>
  <c r="B11" i="2"/>
  <c r="B12" i="2"/>
  <c r="B13" i="2"/>
  <c r="B14" i="2"/>
  <c r="B15" i="2"/>
  <c r="B16" i="2"/>
  <c r="E7" i="1"/>
  <c r="E8" i="1"/>
  <c r="E9" i="1"/>
  <c r="E10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7" i="1"/>
  <c r="E38" i="1"/>
  <c r="E39" i="1"/>
  <c r="E40" i="1"/>
  <c r="B7" i="1"/>
  <c r="B8" i="1"/>
  <c r="B9" i="1"/>
  <c r="B10" i="1"/>
  <c r="B11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3" i="1"/>
  <c r="B34" i="1"/>
  <c r="B35" i="1"/>
  <c r="B36" i="1"/>
</calcChain>
</file>

<file path=xl/sharedStrings.xml><?xml version="1.0" encoding="utf-8"?>
<sst xmlns="http://schemas.openxmlformats.org/spreadsheetml/2006/main" count="111" uniqueCount="48">
  <si>
    <t>East Bay CAMFT</t>
  </si>
  <si>
    <t>Profit and Loss</t>
  </si>
  <si>
    <t>January 1 - August 18, 2016</t>
  </si>
  <si>
    <t>Total</t>
  </si>
  <si>
    <t>Income</t>
  </si>
  <si>
    <t xml:space="preserve">   CAMFT Insurance Stipend</t>
  </si>
  <si>
    <t xml:space="preserve">   Membership Pmts</t>
  </si>
  <si>
    <t xml:space="preserve">   Refunds-Allowances</t>
  </si>
  <si>
    <t>Total Income</t>
  </si>
  <si>
    <t>Gross Profit</t>
  </si>
  <si>
    <t>Expenses</t>
  </si>
  <si>
    <t xml:space="preserve">   Administrative</t>
  </si>
  <si>
    <t xml:space="preserve">   Advertising</t>
  </si>
  <si>
    <t xml:space="preserve">   Board Activities</t>
  </si>
  <si>
    <t xml:space="preserve">   Board Retreat</t>
  </si>
  <si>
    <t xml:space="preserve">   Business License</t>
  </si>
  <si>
    <t xml:space="preserve">   Commissions &amp; fees</t>
  </si>
  <si>
    <t xml:space="preserve">   End of Year Board Dinner</t>
  </si>
  <si>
    <t xml:space="preserve">   Insurance</t>
  </si>
  <si>
    <t xml:space="preserve">   Member Appreciation</t>
  </si>
  <si>
    <t xml:space="preserve">   Newsletter Administrator</t>
  </si>
  <si>
    <t xml:space="preserve">   Other General and Admin Expenses</t>
  </si>
  <si>
    <t xml:space="preserve">   Shipping and delivery expense</t>
  </si>
  <si>
    <t xml:space="preserve">   Socials</t>
  </si>
  <si>
    <t xml:space="preserve">   Surveys</t>
  </si>
  <si>
    <t xml:space="preserve">   Tax Preparation</t>
  </si>
  <si>
    <t xml:space="preserve">   Taxes &amp; Licenses</t>
  </si>
  <si>
    <t xml:space="preserve">   Website Maintenance</t>
  </si>
  <si>
    <t>Total Expenses</t>
  </si>
  <si>
    <t>Net Operating Income</t>
  </si>
  <si>
    <t>Other Income</t>
  </si>
  <si>
    <t xml:space="preserve">   Interest Earned</t>
  </si>
  <si>
    <t>Total Other Income</t>
  </si>
  <si>
    <t>Net Other Income</t>
  </si>
  <si>
    <t>Net Income</t>
  </si>
  <si>
    <t>January 1 - August 18, 2015</t>
  </si>
  <si>
    <t xml:space="preserve">   CEU Fees</t>
  </si>
  <si>
    <t xml:space="preserve">   3000 Hour Club</t>
  </si>
  <si>
    <t xml:space="preserve">   Bank Charges</t>
  </si>
  <si>
    <t xml:space="preserve">   CEU Program</t>
  </si>
  <si>
    <t xml:space="preserve">   Elections</t>
  </si>
  <si>
    <t xml:space="preserve">   Insurance - Liability</t>
  </si>
  <si>
    <t xml:space="preserve">   Meals and Entertainment</t>
  </si>
  <si>
    <t xml:space="preserve">   Mentorship Program</t>
  </si>
  <si>
    <t xml:space="preserve">   Office Expenses</t>
  </si>
  <si>
    <t xml:space="preserve">   Travel</t>
  </si>
  <si>
    <t>August 1-18, 2016</t>
  </si>
  <si>
    <t>July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</si>
</sst>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€"/>
    <numFmt numFmtId="165" formatCode="&quot;$&quot;* #,##0.00\ _€"/>
  </numFmts>
  <fonts count="6" x14ac:knownFonts="1">
    <font>
      <sz val="12"/>
      <color theme="1"/>
      <name val="Calibri"/>
      <family val="2"/>
      <scheme val="minor"/>
    </font>
    <font>
      <b/>
      <sz val="14"/>
      <color indexed="8"/>
      <name val="Arial"/>
    </font>
    <font>
      <b/>
      <sz val="10"/>
      <color indexed="8"/>
      <name val="Arial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B0FD"/>
        <bgColor indexed="64"/>
      </patternFill>
    </fill>
    <fill>
      <patternFill patternType="solid">
        <fgColor rgb="FFA995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164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horizontal="right" wrapText="1"/>
    </xf>
    <xf numFmtId="165" fontId="4" fillId="0" borderId="2" xfId="0" applyNumberFormat="1" applyFont="1" applyBorder="1" applyAlignment="1">
      <alignment horizontal="right" wrapText="1"/>
    </xf>
    <xf numFmtId="0" fontId="4" fillId="2" borderId="0" xfId="0" applyFont="1" applyFill="1" applyAlignment="1">
      <alignment horizontal="left" wrapText="1"/>
    </xf>
    <xf numFmtId="164" fontId="5" fillId="2" borderId="0" xfId="0" applyNumberFormat="1" applyFont="1" applyFill="1" applyAlignment="1">
      <alignment horizontal="right" wrapText="1"/>
    </xf>
    <xf numFmtId="0" fontId="4" fillId="3" borderId="0" xfId="0" applyFont="1" applyFill="1" applyAlignment="1">
      <alignment horizontal="left" wrapText="1"/>
    </xf>
    <xf numFmtId="165" fontId="4" fillId="3" borderId="2" xfId="0" applyNumberFormat="1" applyFont="1" applyFill="1" applyBorder="1" applyAlignment="1">
      <alignment horizontal="right" wrapText="1"/>
    </xf>
    <xf numFmtId="0" fontId="4" fillId="4" borderId="0" xfId="0" applyFont="1" applyFill="1" applyAlignment="1">
      <alignment horizontal="left" wrapText="1"/>
    </xf>
    <xf numFmtId="165" fontId="4" fillId="4" borderId="2" xfId="0" applyNumberFormat="1" applyFont="1" applyFill="1" applyBorder="1" applyAlignment="1">
      <alignment horizontal="right" wrapText="1"/>
    </xf>
    <xf numFmtId="0" fontId="4" fillId="5" borderId="0" xfId="0" applyFont="1" applyFill="1" applyAlignment="1">
      <alignment horizontal="left" wrapText="1"/>
    </xf>
    <xf numFmtId="164" fontId="5" fillId="5" borderId="0" xfId="0" applyNumberFormat="1" applyFont="1" applyFill="1" applyAlignment="1">
      <alignment horizontal="right" wrapText="1"/>
    </xf>
    <xf numFmtId="0" fontId="4" fillId="6" borderId="0" xfId="0" applyFont="1" applyFill="1" applyAlignment="1">
      <alignment horizontal="left" wrapText="1"/>
    </xf>
    <xf numFmtId="164" fontId="5" fillId="6" borderId="0" xfId="0" applyNumberFormat="1" applyFont="1" applyFill="1" applyAlignment="1">
      <alignment horizontal="right" wrapText="1"/>
    </xf>
    <xf numFmtId="0" fontId="4" fillId="7" borderId="0" xfId="0" applyFont="1" applyFill="1" applyAlignment="1">
      <alignment horizontal="left" wrapText="1"/>
    </xf>
    <xf numFmtId="165" fontId="4" fillId="7" borderId="2" xfId="0" applyNumberFormat="1" applyFont="1" applyFill="1" applyBorder="1" applyAlignment="1">
      <alignment horizontal="right" wrapText="1"/>
    </xf>
    <xf numFmtId="0" fontId="4" fillId="8" borderId="0" xfId="0" applyFont="1" applyFill="1" applyAlignment="1">
      <alignment horizontal="left" wrapText="1"/>
    </xf>
    <xf numFmtId="165" fontId="4" fillId="8" borderId="2" xfId="0" applyNumberFormat="1" applyFont="1" applyFill="1" applyBorder="1" applyAlignment="1">
      <alignment horizontal="right" wrapText="1"/>
    </xf>
    <xf numFmtId="0" fontId="4" fillId="9" borderId="0" xfId="0" applyFont="1" applyFill="1" applyAlignment="1">
      <alignment horizontal="left" wrapText="1"/>
    </xf>
    <xf numFmtId="165" fontId="4" fillId="9" borderId="2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A995FF"/>
      <color rgb="FFFFB0F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23" workbookViewId="0">
      <selection activeCell="F35" sqref="F35"/>
    </sheetView>
  </sheetViews>
  <sheetFormatPr baseColWidth="10" defaultRowHeight="16" x14ac:dyDescent="0.2"/>
  <cols>
    <col min="1" max="1" width="18.33203125" customWidth="1"/>
    <col min="2" max="2" width="19" customWidth="1"/>
    <col min="4" max="4" width="22.6640625" customWidth="1"/>
    <col min="5" max="5" width="19" customWidth="1"/>
  </cols>
  <sheetData>
    <row r="1" spans="1:6" ht="18" x14ac:dyDescent="0.2">
      <c r="A1" s="1" t="s">
        <v>0</v>
      </c>
      <c r="B1" s="2"/>
      <c r="D1" s="1" t="s">
        <v>0</v>
      </c>
      <c r="E1" s="2"/>
    </row>
    <row r="2" spans="1:6" ht="18" x14ac:dyDescent="0.2">
      <c r="A2" s="1" t="s">
        <v>1</v>
      </c>
      <c r="B2" s="2"/>
      <c r="D2" s="1" t="s">
        <v>1</v>
      </c>
      <c r="E2" s="2"/>
    </row>
    <row r="3" spans="1:6" x14ac:dyDescent="0.2">
      <c r="A3" s="3" t="s">
        <v>2</v>
      </c>
      <c r="B3" s="2"/>
      <c r="D3" s="3" t="s">
        <v>35</v>
      </c>
      <c r="E3" s="2"/>
    </row>
    <row r="5" spans="1:6" x14ac:dyDescent="0.2">
      <c r="A5" s="4"/>
      <c r="B5" s="5" t="s">
        <v>3</v>
      </c>
      <c r="D5" s="4"/>
      <c r="E5" s="5" t="s">
        <v>3</v>
      </c>
    </row>
    <row r="6" spans="1:6" x14ac:dyDescent="0.2">
      <c r="A6" s="6" t="s">
        <v>4</v>
      </c>
      <c r="B6" s="7"/>
      <c r="D6" s="6" t="s">
        <v>4</v>
      </c>
      <c r="E6" s="7"/>
    </row>
    <row r="7" spans="1:6" ht="23" x14ac:dyDescent="0.2">
      <c r="A7" s="6" t="s">
        <v>5</v>
      </c>
      <c r="B7" s="8">
        <f>500</f>
        <v>500</v>
      </c>
      <c r="D7" s="6" t="s">
        <v>36</v>
      </c>
      <c r="E7" s="8">
        <f>57</f>
        <v>57</v>
      </c>
    </row>
    <row r="8" spans="1:6" ht="23" x14ac:dyDescent="0.2">
      <c r="A8" s="10" t="s">
        <v>6</v>
      </c>
      <c r="B8" s="11">
        <f>27423.05</f>
        <v>27423.05</v>
      </c>
      <c r="D8" s="10" t="s">
        <v>6</v>
      </c>
      <c r="E8" s="11">
        <f>35824.46</f>
        <v>35824.46</v>
      </c>
      <c r="F8">
        <v>-8401</v>
      </c>
    </row>
    <row r="9" spans="1:6" x14ac:dyDescent="0.2">
      <c r="A9" s="6" t="s">
        <v>7</v>
      </c>
      <c r="B9" s="8">
        <f>3890.42</f>
        <v>3890.42</v>
      </c>
      <c r="D9" s="14" t="s">
        <v>8</v>
      </c>
      <c r="E9" s="15">
        <f>(E7)+(E8)</f>
        <v>35881.46</v>
      </c>
      <c r="F9">
        <v>-4067</v>
      </c>
    </row>
    <row r="10" spans="1:6" x14ac:dyDescent="0.2">
      <c r="A10" s="14" t="s">
        <v>8</v>
      </c>
      <c r="B10" s="15">
        <f>((B7)+(B8))+(B9)</f>
        <v>31813.47</v>
      </c>
      <c r="D10" s="12" t="s">
        <v>9</v>
      </c>
      <c r="E10" s="13">
        <f>(E9)-(0)</f>
        <v>35881.46</v>
      </c>
      <c r="F10">
        <v>-4067</v>
      </c>
    </row>
    <row r="11" spans="1:6" x14ac:dyDescent="0.2">
      <c r="A11" s="12" t="s">
        <v>9</v>
      </c>
      <c r="B11" s="13">
        <f>(B10)-(0)</f>
        <v>31813.47</v>
      </c>
      <c r="D11" s="6" t="s">
        <v>10</v>
      </c>
      <c r="E11" s="7"/>
    </row>
    <row r="12" spans="1:6" ht="23" x14ac:dyDescent="0.2">
      <c r="A12" s="6" t="s">
        <v>10</v>
      </c>
      <c r="B12" s="7"/>
      <c r="D12" s="6" t="s">
        <v>37</v>
      </c>
      <c r="E12" s="8">
        <f>81.98</f>
        <v>81.98</v>
      </c>
    </row>
    <row r="13" spans="1:6" ht="23" x14ac:dyDescent="0.2">
      <c r="A13" s="16" t="s">
        <v>11</v>
      </c>
      <c r="B13" s="17">
        <f>14662.18</f>
        <v>14662.18</v>
      </c>
      <c r="D13" s="16" t="s">
        <v>11</v>
      </c>
      <c r="E13" s="17">
        <f>13600</f>
        <v>13600</v>
      </c>
      <c r="F13">
        <v>1062</v>
      </c>
    </row>
    <row r="14" spans="1:6" x14ac:dyDescent="0.2">
      <c r="A14" s="18" t="s">
        <v>12</v>
      </c>
      <c r="B14" s="19">
        <f>291.25</f>
        <v>291.25</v>
      </c>
      <c r="D14" s="18" t="s">
        <v>12</v>
      </c>
      <c r="E14" s="19">
        <f>129</f>
        <v>129</v>
      </c>
    </row>
    <row r="15" spans="1:6" x14ac:dyDescent="0.2">
      <c r="A15" s="6" t="s">
        <v>13</v>
      </c>
      <c r="B15" s="8">
        <f>596.83</f>
        <v>596.83000000000004</v>
      </c>
      <c r="D15" s="6" t="s">
        <v>38</v>
      </c>
      <c r="E15" s="8">
        <f>7</f>
        <v>7</v>
      </c>
    </row>
    <row r="16" spans="1:6" ht="23" x14ac:dyDescent="0.2">
      <c r="A16" s="6" t="s">
        <v>14</v>
      </c>
      <c r="B16" s="8">
        <f>303.91</f>
        <v>303.91000000000003</v>
      </c>
      <c r="D16" s="6" t="s">
        <v>13</v>
      </c>
      <c r="E16" s="8">
        <f>100.41</f>
        <v>100.41</v>
      </c>
    </row>
    <row r="17" spans="1:5" x14ac:dyDescent="0.2">
      <c r="A17" s="6" t="s">
        <v>15</v>
      </c>
      <c r="B17" s="8">
        <f>27</f>
        <v>27</v>
      </c>
      <c r="D17" s="6" t="s">
        <v>14</v>
      </c>
      <c r="E17" s="8">
        <f>506.54</f>
        <v>506.54</v>
      </c>
    </row>
    <row r="18" spans="1:5" ht="23" x14ac:dyDescent="0.2">
      <c r="A18" s="6" t="s">
        <v>16</v>
      </c>
      <c r="B18" s="8">
        <f>245.45</f>
        <v>245.45</v>
      </c>
      <c r="D18" s="6" t="s">
        <v>15</v>
      </c>
      <c r="E18" s="8">
        <f>27</f>
        <v>27</v>
      </c>
    </row>
    <row r="19" spans="1:5" x14ac:dyDescent="0.2">
      <c r="A19" s="6" t="s">
        <v>17</v>
      </c>
      <c r="B19" s="8">
        <f>800</f>
        <v>800</v>
      </c>
      <c r="D19" s="6" t="s">
        <v>39</v>
      </c>
      <c r="E19" s="8">
        <f>189.63</f>
        <v>189.63</v>
      </c>
    </row>
    <row r="20" spans="1:5" ht="23" x14ac:dyDescent="0.2">
      <c r="A20" s="6" t="s">
        <v>18</v>
      </c>
      <c r="B20" s="8">
        <f>2008.2</f>
        <v>2008.2</v>
      </c>
      <c r="D20" s="6" t="s">
        <v>16</v>
      </c>
      <c r="E20" s="8">
        <f>167.45</f>
        <v>167.45</v>
      </c>
    </row>
    <row r="21" spans="1:5" x14ac:dyDescent="0.2">
      <c r="A21" s="6" t="s">
        <v>19</v>
      </c>
      <c r="B21" s="8">
        <f>129.98</f>
        <v>129.97999999999999</v>
      </c>
      <c r="D21" s="6" t="s">
        <v>40</v>
      </c>
      <c r="E21" s="8">
        <f>7.91</f>
        <v>7.91</v>
      </c>
    </row>
    <row r="22" spans="1:5" ht="23" x14ac:dyDescent="0.2">
      <c r="A22" s="6" t="s">
        <v>20</v>
      </c>
      <c r="B22" s="8">
        <f>1550</f>
        <v>1550</v>
      </c>
      <c r="D22" s="6" t="s">
        <v>41</v>
      </c>
      <c r="E22" s="8">
        <f>2169</f>
        <v>2169</v>
      </c>
    </row>
    <row r="23" spans="1:5" ht="23" x14ac:dyDescent="0.2">
      <c r="A23" s="6" t="s">
        <v>21</v>
      </c>
      <c r="B23" s="8">
        <f>20</f>
        <v>20</v>
      </c>
      <c r="D23" s="6" t="s">
        <v>42</v>
      </c>
      <c r="E23" s="8">
        <f>155</f>
        <v>155</v>
      </c>
    </row>
    <row r="24" spans="1:5" ht="23" x14ac:dyDescent="0.2">
      <c r="A24" s="6" t="s">
        <v>22</v>
      </c>
      <c r="B24" s="8">
        <f>2.19</f>
        <v>2.19</v>
      </c>
      <c r="D24" s="6" t="s">
        <v>19</v>
      </c>
      <c r="E24" s="8">
        <f>4124</f>
        <v>4124</v>
      </c>
    </row>
    <row r="25" spans="1:5" ht="23" x14ac:dyDescent="0.2">
      <c r="A25" s="6" t="s">
        <v>23</v>
      </c>
      <c r="B25" s="8">
        <f>1388</f>
        <v>1388</v>
      </c>
      <c r="D25" s="6" t="s">
        <v>43</v>
      </c>
      <c r="E25" s="8">
        <f>276.45</f>
        <v>276.45</v>
      </c>
    </row>
    <row r="26" spans="1:5" ht="23" x14ac:dyDescent="0.2">
      <c r="A26" s="6" t="s">
        <v>24</v>
      </c>
      <c r="B26" s="8">
        <f>228</f>
        <v>228</v>
      </c>
      <c r="D26" s="6" t="s">
        <v>20</v>
      </c>
      <c r="E26" s="8">
        <f>983</f>
        <v>983</v>
      </c>
    </row>
    <row r="27" spans="1:5" ht="23" x14ac:dyDescent="0.2">
      <c r="A27" s="6" t="s">
        <v>25</v>
      </c>
      <c r="B27" s="8">
        <f>650</f>
        <v>650</v>
      </c>
      <c r="D27" s="6" t="s">
        <v>44</v>
      </c>
      <c r="E27" s="8">
        <f>1393.6</f>
        <v>1393.6</v>
      </c>
    </row>
    <row r="28" spans="1:5" ht="34" x14ac:dyDescent="0.2">
      <c r="A28" s="6" t="s">
        <v>26</v>
      </c>
      <c r="B28" s="8">
        <f>10</f>
        <v>10</v>
      </c>
      <c r="D28" s="6" t="s">
        <v>21</v>
      </c>
      <c r="E28" s="8">
        <f>41.5</f>
        <v>41.5</v>
      </c>
    </row>
    <row r="29" spans="1:5" x14ac:dyDescent="0.2">
      <c r="A29" s="6" t="s">
        <v>27</v>
      </c>
      <c r="B29" s="8">
        <f>133.44</f>
        <v>133.44</v>
      </c>
      <c r="D29" s="6" t="s">
        <v>24</v>
      </c>
      <c r="E29" s="8">
        <f>228</f>
        <v>228</v>
      </c>
    </row>
    <row r="30" spans="1:5" ht="23" x14ac:dyDescent="0.2">
      <c r="A30" s="20" t="s">
        <v>28</v>
      </c>
      <c r="B30" s="21">
        <f>((((((((((((((((B13)+(B14))+(B15))+(B16))+(B17))+(B18))+(B19))+(B20))+(B21))+(B22))+(B23))+(B24))+(B25))+(B26))+(B27))+(B28))+(B29)</f>
        <v>23046.43</v>
      </c>
      <c r="D30" s="6" t="s">
        <v>25</v>
      </c>
      <c r="E30" s="8">
        <f>650</f>
        <v>650</v>
      </c>
    </row>
    <row r="31" spans="1:5" ht="23" x14ac:dyDescent="0.2">
      <c r="A31" s="24" t="s">
        <v>29</v>
      </c>
      <c r="B31" s="25">
        <f>(B11)-(B30)</f>
        <v>8767.0400000000009</v>
      </c>
      <c r="D31" s="6" t="s">
        <v>26</v>
      </c>
      <c r="E31" s="8">
        <f>4111.76</f>
        <v>4111.76</v>
      </c>
    </row>
    <row r="32" spans="1:5" x14ac:dyDescent="0.2">
      <c r="A32" s="6" t="s">
        <v>30</v>
      </c>
      <c r="B32" s="7"/>
      <c r="D32" s="6" t="s">
        <v>45</v>
      </c>
      <c r="E32" s="8">
        <f>10</f>
        <v>10</v>
      </c>
    </row>
    <row r="33" spans="1:6" ht="23" x14ac:dyDescent="0.2">
      <c r="A33" s="6" t="s">
        <v>31</v>
      </c>
      <c r="B33" s="8">
        <f>4.08</f>
        <v>4.08</v>
      </c>
      <c r="D33" s="6" t="s">
        <v>27</v>
      </c>
      <c r="E33" s="8">
        <f>4960</f>
        <v>4960</v>
      </c>
    </row>
    <row r="34" spans="1:6" x14ac:dyDescent="0.2">
      <c r="A34" s="6" t="s">
        <v>32</v>
      </c>
      <c r="B34" s="9">
        <f>B33</f>
        <v>4.08</v>
      </c>
      <c r="D34" s="20" t="s">
        <v>28</v>
      </c>
      <c r="E34" s="21">
        <f>(((((((((((((((((((((E12)+(E13))+(E14))+(E15))+(E16))+(E17))+(E18))+(E19))+(E20))+(E21))+(E22))+(E23))+(E24))+(E25))+(E26))+(E27))+(E28))+(E29))+(E30))+(E31))+(E32))+(E33)</f>
        <v>33919.229999999996</v>
      </c>
    </row>
    <row r="35" spans="1:6" ht="23" x14ac:dyDescent="0.2">
      <c r="A35" s="6" t="s">
        <v>33</v>
      </c>
      <c r="B35" s="9">
        <f>(B34)-(0)</f>
        <v>4.08</v>
      </c>
      <c r="D35" s="24" t="s">
        <v>29</v>
      </c>
      <c r="E35" s="25">
        <f>(E10)-(E34)</f>
        <v>1962.2300000000032</v>
      </c>
    </row>
    <row r="36" spans="1:6" x14ac:dyDescent="0.2">
      <c r="A36" s="22" t="s">
        <v>34</v>
      </c>
      <c r="B36" s="23">
        <f>(B31)+(B35)</f>
        <v>8771.1200000000008</v>
      </c>
      <c r="D36" s="6" t="s">
        <v>30</v>
      </c>
      <c r="E36" s="7"/>
    </row>
    <row r="37" spans="1:6" ht="23" x14ac:dyDescent="0.2">
      <c r="D37" s="6" t="s">
        <v>31</v>
      </c>
      <c r="E37" s="8">
        <f>2.97</f>
        <v>2.97</v>
      </c>
    </row>
    <row r="38" spans="1:6" ht="23" x14ac:dyDescent="0.2">
      <c r="D38" s="6" t="s">
        <v>32</v>
      </c>
      <c r="E38" s="9">
        <f>E37</f>
        <v>2.97</v>
      </c>
    </row>
    <row r="39" spans="1:6" ht="23" x14ac:dyDescent="0.2">
      <c r="D39" s="6" t="s">
        <v>33</v>
      </c>
      <c r="E39" s="9">
        <f>(E38)-(0)</f>
        <v>2.97</v>
      </c>
    </row>
    <row r="40" spans="1:6" x14ac:dyDescent="0.2">
      <c r="D40" s="22" t="s">
        <v>34</v>
      </c>
      <c r="E40" s="23">
        <f>(E35)+(E39)</f>
        <v>1965.2000000000032</v>
      </c>
      <c r="F40">
        <v>6806</v>
      </c>
    </row>
  </sheetData>
  <mergeCells count="6">
    <mergeCell ref="A1:B1"/>
    <mergeCell ref="A2:B2"/>
    <mergeCell ref="A3:B3"/>
    <mergeCell ref="D1:E1"/>
    <mergeCell ref="D2:E2"/>
    <mergeCell ref="D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B24" sqref="B24"/>
    </sheetView>
  </sheetViews>
  <sheetFormatPr baseColWidth="10" defaultRowHeight="16" x14ac:dyDescent="0.2"/>
  <cols>
    <col min="1" max="1" width="23.1640625" customWidth="1"/>
    <col min="4" max="4" width="18.1640625" customWidth="1"/>
    <col min="5" max="5" width="17" customWidth="1"/>
  </cols>
  <sheetData>
    <row r="1" spans="1:5" ht="18" x14ac:dyDescent="0.2">
      <c r="A1" s="1" t="s">
        <v>0</v>
      </c>
      <c r="B1" s="2"/>
      <c r="D1" s="1" t="s">
        <v>0</v>
      </c>
      <c r="E1" s="2"/>
    </row>
    <row r="2" spans="1:5" ht="18" x14ac:dyDescent="0.2">
      <c r="A2" s="1" t="s">
        <v>1</v>
      </c>
      <c r="B2" s="2"/>
      <c r="D2" s="1" t="s">
        <v>1</v>
      </c>
      <c r="E2" s="2"/>
    </row>
    <row r="3" spans="1:5" x14ac:dyDescent="0.2">
      <c r="A3" s="3" t="s">
        <v>46</v>
      </c>
      <c r="B3" s="2"/>
      <c r="D3" s="3" t="s">
        <v>47</v>
      </c>
      <c r="E3" s="2"/>
    </row>
    <row r="5" spans="1:5" x14ac:dyDescent="0.2">
      <c r="A5" s="4"/>
      <c r="B5" s="5" t="s">
        <v>3</v>
      </c>
      <c r="D5" s="4"/>
      <c r="E5" s="5" t="s">
        <v>3</v>
      </c>
    </row>
    <row r="6" spans="1:5" x14ac:dyDescent="0.2">
      <c r="A6" s="6" t="s">
        <v>4</v>
      </c>
      <c r="B6" s="7"/>
      <c r="D6" s="6" t="s">
        <v>4</v>
      </c>
      <c r="E6" s="7"/>
    </row>
    <row r="7" spans="1:5" ht="23" x14ac:dyDescent="0.2">
      <c r="A7" s="6" t="s">
        <v>6</v>
      </c>
      <c r="B7" s="8">
        <f>2934.38</f>
        <v>2934.38</v>
      </c>
      <c r="D7" s="6" t="s">
        <v>6</v>
      </c>
      <c r="E7" s="8">
        <f>3020.43</f>
        <v>3020.43</v>
      </c>
    </row>
    <row r="8" spans="1:5" x14ac:dyDescent="0.2">
      <c r="A8" s="6" t="s">
        <v>8</v>
      </c>
      <c r="B8" s="9">
        <f>B7</f>
        <v>2934.38</v>
      </c>
      <c r="D8" s="6" t="s">
        <v>8</v>
      </c>
      <c r="E8" s="9">
        <f>E7</f>
        <v>3020.43</v>
      </c>
    </row>
    <row r="9" spans="1:5" x14ac:dyDescent="0.2">
      <c r="A9" s="6" t="s">
        <v>9</v>
      </c>
      <c r="B9" s="9">
        <f>(B8)-(0)</f>
        <v>2934.38</v>
      </c>
      <c r="D9" s="6" t="s">
        <v>9</v>
      </c>
      <c r="E9" s="9">
        <f>(E8)-(0)</f>
        <v>3020.43</v>
      </c>
    </row>
    <row r="10" spans="1:5" x14ac:dyDescent="0.2">
      <c r="A10" s="6" t="s">
        <v>10</v>
      </c>
      <c r="B10" s="7"/>
      <c r="D10" s="6" t="s">
        <v>10</v>
      </c>
      <c r="E10" s="7"/>
    </row>
    <row r="11" spans="1:5" ht="23" x14ac:dyDescent="0.2">
      <c r="A11" s="6" t="s">
        <v>11</v>
      </c>
      <c r="B11" s="8">
        <f>1658.18</f>
        <v>1658.18</v>
      </c>
      <c r="D11" s="6" t="s">
        <v>11</v>
      </c>
      <c r="E11" s="8">
        <f>1625</f>
        <v>1625</v>
      </c>
    </row>
    <row r="12" spans="1:5" x14ac:dyDescent="0.2">
      <c r="A12" s="6" t="s">
        <v>18</v>
      </c>
      <c r="B12" s="8">
        <f>46.65</f>
        <v>46.65</v>
      </c>
      <c r="D12" s="6" t="s">
        <v>12</v>
      </c>
      <c r="E12" s="8">
        <f>291.25</f>
        <v>291.25</v>
      </c>
    </row>
    <row r="13" spans="1:5" x14ac:dyDescent="0.2">
      <c r="A13" s="6" t="s">
        <v>27</v>
      </c>
      <c r="B13" s="8">
        <f>17.95</f>
        <v>17.95</v>
      </c>
      <c r="D13" s="6" t="s">
        <v>18</v>
      </c>
      <c r="E13" s="8">
        <f>46.65</f>
        <v>46.65</v>
      </c>
    </row>
    <row r="14" spans="1:5" ht="23" x14ac:dyDescent="0.2">
      <c r="A14" s="6" t="s">
        <v>28</v>
      </c>
      <c r="B14" s="9">
        <f>((B11)+(B12))+(B13)</f>
        <v>1722.7800000000002</v>
      </c>
      <c r="D14" s="6" t="s">
        <v>20</v>
      </c>
      <c r="E14" s="8">
        <f>500</f>
        <v>500</v>
      </c>
    </row>
    <row r="15" spans="1:5" x14ac:dyDescent="0.2">
      <c r="A15" s="6" t="s">
        <v>29</v>
      </c>
      <c r="B15" s="9">
        <f>(B9)-(B14)</f>
        <v>1211.5999999999999</v>
      </c>
      <c r="D15" s="6" t="s">
        <v>23</v>
      </c>
      <c r="E15" s="8">
        <f>1268</f>
        <v>1268</v>
      </c>
    </row>
    <row r="16" spans="1:5" ht="23" x14ac:dyDescent="0.2">
      <c r="A16" s="6" t="s">
        <v>34</v>
      </c>
      <c r="B16" s="9">
        <f>(B15)+(0)</f>
        <v>1211.5999999999999</v>
      </c>
      <c r="D16" s="6" t="s">
        <v>27</v>
      </c>
      <c r="E16" s="8">
        <f>17.95</f>
        <v>17.95</v>
      </c>
    </row>
    <row r="17" spans="4:5" x14ac:dyDescent="0.2">
      <c r="D17" s="6" t="s">
        <v>28</v>
      </c>
      <c r="E17" s="9">
        <f>(((((E11)+(E12))+(E13))+(E14))+(E15))+(E16)</f>
        <v>3748.85</v>
      </c>
    </row>
    <row r="18" spans="4:5" ht="23" x14ac:dyDescent="0.2">
      <c r="D18" s="6" t="s">
        <v>29</v>
      </c>
      <c r="E18" s="9">
        <f>(E9)-(E17)</f>
        <v>-728.42000000000007</v>
      </c>
    </row>
    <row r="19" spans="4:5" x14ac:dyDescent="0.2">
      <c r="D19" s="6" t="s">
        <v>30</v>
      </c>
      <c r="E19" s="7"/>
    </row>
    <row r="20" spans="4:5" ht="23" x14ac:dyDescent="0.2">
      <c r="D20" s="6" t="s">
        <v>31</v>
      </c>
      <c r="E20" s="8">
        <f>0.56</f>
        <v>0.56000000000000005</v>
      </c>
    </row>
    <row r="21" spans="4:5" ht="23" x14ac:dyDescent="0.2">
      <c r="D21" s="6" t="s">
        <v>32</v>
      </c>
      <c r="E21" s="9">
        <f>E20</f>
        <v>0.56000000000000005</v>
      </c>
    </row>
    <row r="22" spans="4:5" ht="23" x14ac:dyDescent="0.2">
      <c r="D22" s="6" t="s">
        <v>33</v>
      </c>
      <c r="E22" s="9">
        <f>(E21)-(0)</f>
        <v>0.56000000000000005</v>
      </c>
    </row>
    <row r="23" spans="4:5" x14ac:dyDescent="0.2">
      <c r="D23" s="6" t="s">
        <v>34</v>
      </c>
      <c r="E23" s="9">
        <f>(E18)+(E22)</f>
        <v>-727.86000000000013</v>
      </c>
    </row>
  </sheetData>
  <mergeCells count="6">
    <mergeCell ref="A1:B1"/>
    <mergeCell ref="A2:B2"/>
    <mergeCell ref="A3:B3"/>
    <mergeCell ref="D1:E1"/>
    <mergeCell ref="D2:E2"/>
    <mergeCell ref="D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Year to date</vt:lpstr>
      <vt:lpstr>PL Month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2016-08-19T05:11:02Z</dcterms:created>
  <dcterms:modified xsi:type="dcterms:W3CDTF">2016-08-19T05:32:36Z</dcterms:modified>
</cp:coreProperties>
</file>